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d.docs.live.net/15fd097fa3345d7e/_Supernova Consulting/_Website/"/>
    </mc:Choice>
  </mc:AlternateContent>
  <bookViews>
    <workbookView xWindow="0" yWindow="0" windowWidth="28800" windowHeight="12435"/>
  </bookViews>
  <sheets>
    <sheet name="Calculator" sheetId="2" r:id="rId1"/>
    <sheet name="Sheet3" sheetId="3" state="hidden" r:id="rId2"/>
    <sheet name="Factors" sheetId="1" state="hidden" r:id="rId3"/>
  </sheets>
  <definedNames>
    <definedName name="_xlnm.Print_Area" localSheetId="0">Calculator!$B$1:$I$51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8" i="2" l="1"/>
  <c r="J16" i="2"/>
  <c r="J20" i="2" s="1"/>
  <c r="E16" i="2"/>
  <c r="J14" i="2"/>
  <c r="G12" i="2"/>
  <c r="C37" i="1" l="1"/>
  <c r="D37" i="1" s="1"/>
  <c r="F24" i="2"/>
  <c r="C31" i="1"/>
  <c r="D31" i="1" s="1"/>
  <c r="C15" i="1"/>
  <c r="D15" i="1" s="1"/>
  <c r="C7" i="1"/>
  <c r="D7" i="1" s="1"/>
  <c r="C39" i="1"/>
  <c r="D39" i="1" s="1"/>
  <c r="C23" i="1"/>
  <c r="D23" i="1" s="1"/>
  <c r="J21" i="2"/>
  <c r="D29" i="2" s="1"/>
  <c r="J23" i="2"/>
  <c r="C11" i="1"/>
  <c r="D11" i="1" s="1"/>
  <c r="C27" i="1"/>
  <c r="D27" i="1" s="1"/>
  <c r="C3" i="1"/>
  <c r="D3" i="1" s="1"/>
  <c r="C19" i="1"/>
  <c r="D19" i="1" s="1"/>
  <c r="C35" i="1"/>
  <c r="D35" i="1" s="1"/>
  <c r="C5" i="1"/>
  <c r="D5" i="1" s="1"/>
  <c r="C9" i="1"/>
  <c r="D9" i="1" s="1"/>
  <c r="C13" i="1"/>
  <c r="D13" i="1" s="1"/>
  <c r="C17" i="1"/>
  <c r="D17" i="1" s="1"/>
  <c r="C21" i="1"/>
  <c r="D21" i="1" s="1"/>
  <c r="C33" i="1"/>
  <c r="D33" i="1" s="1"/>
  <c r="D19" i="2"/>
  <c r="D21" i="2" s="1"/>
  <c r="C4" i="1"/>
  <c r="D4" i="1" s="1"/>
  <c r="C8" i="1"/>
  <c r="D8" i="1" s="1"/>
  <c r="C12" i="1"/>
  <c r="D12" i="1" s="1"/>
  <c r="C16" i="1"/>
  <c r="D16" i="1" s="1"/>
  <c r="C20" i="1"/>
  <c r="D20" i="1" s="1"/>
  <c r="C24" i="1"/>
  <c r="D24" i="1" s="1"/>
  <c r="C28" i="1"/>
  <c r="D28" i="1" s="1"/>
  <c r="C32" i="1"/>
  <c r="D32" i="1" s="1"/>
  <c r="C36" i="1"/>
  <c r="D36" i="1" s="1"/>
  <c r="C2" i="1"/>
  <c r="D2" i="1" s="1"/>
  <c r="E2" i="1" s="1"/>
  <c r="C6" i="1"/>
  <c r="D6" i="1" s="1"/>
  <c r="C10" i="1"/>
  <c r="D10" i="1" s="1"/>
  <c r="C14" i="1"/>
  <c r="D14" i="1" s="1"/>
  <c r="C18" i="1"/>
  <c r="D18" i="1" s="1"/>
  <c r="C22" i="1"/>
  <c r="D22" i="1" s="1"/>
  <c r="C26" i="1"/>
  <c r="D26" i="1" s="1"/>
  <c r="C30" i="1"/>
  <c r="D30" i="1" s="1"/>
  <c r="C34" i="1"/>
  <c r="D34" i="1" s="1"/>
  <c r="C38" i="1"/>
  <c r="D38" i="1" s="1"/>
  <c r="C25" i="1"/>
  <c r="D25" i="1" s="1"/>
  <c r="C29" i="1"/>
  <c r="D29" i="1" s="1"/>
  <c r="E3" i="1" l="1"/>
  <c r="E4" i="1" s="1"/>
  <c r="E5" i="1" s="1"/>
  <c r="E6" i="1" s="1"/>
  <c r="E7" i="1" s="1"/>
  <c r="E8" i="1" s="1"/>
  <c r="E9" i="1" s="1"/>
  <c r="E10" i="1" s="1"/>
  <c r="E11" i="1" s="1"/>
  <c r="E12" i="1" s="1"/>
  <c r="E13" i="1" s="1"/>
  <c r="E14" i="1" s="1"/>
  <c r="E15" i="1" s="1"/>
  <c r="E16" i="1" s="1"/>
  <c r="E17" i="1" s="1"/>
  <c r="E18" i="1" s="1"/>
  <c r="E19" i="1" s="1"/>
  <c r="E20" i="1" s="1"/>
  <c r="E21" i="1" s="1"/>
  <c r="E22" i="1" s="1"/>
  <c r="E23" i="1" s="1"/>
  <c r="E24" i="1" s="1"/>
  <c r="E25" i="1" s="1"/>
  <c r="E26" i="1" s="1"/>
  <c r="E27" i="1" s="1"/>
  <c r="E28" i="1" s="1"/>
  <c r="E29" i="1" s="1"/>
  <c r="E30" i="1" s="1"/>
  <c r="E31" i="1" s="1"/>
  <c r="E32" i="1" s="1"/>
  <c r="E33" i="1" s="1"/>
  <c r="E34" i="1" s="1"/>
  <c r="E35" i="1" s="1"/>
  <c r="E36" i="1" s="1"/>
  <c r="E37" i="1" s="1"/>
  <c r="E38" i="1" s="1"/>
  <c r="E39" i="1" s="1"/>
  <c r="E21" i="2"/>
  <c r="D22" i="2"/>
  <c r="F21" i="2"/>
  <c r="B27" i="2" l="1"/>
  <c r="F25" i="2"/>
</calcChain>
</file>

<file path=xl/sharedStrings.xml><?xml version="1.0" encoding="utf-8"?>
<sst xmlns="http://schemas.openxmlformats.org/spreadsheetml/2006/main" count="38" uniqueCount="34">
  <si>
    <t>Fund Name</t>
  </si>
  <si>
    <t>Pensioner DOB</t>
  </si>
  <si>
    <t>Year ended</t>
  </si>
  <si>
    <t>Minimum Pension (Annual)</t>
  </si>
  <si>
    <t>Minimum Pension (Pro-Rata)</t>
  </si>
  <si>
    <t>Annual</t>
  </si>
  <si>
    <t>Quarterly</t>
  </si>
  <si>
    <t>Monthly</t>
  </si>
  <si>
    <t>Account Balance</t>
  </si>
  <si>
    <t>Pension Factor</t>
  </si>
  <si>
    <t xml:space="preserve"> </t>
  </si>
  <si>
    <t>Frequency</t>
  </si>
  <si>
    <t>Pension Type</t>
  </si>
  <si>
    <t>(for Pension Projection Purposes)</t>
  </si>
  <si>
    <t>Disclaimer</t>
  </si>
  <si>
    <t>These calculators are intended to provide illustrative examples based on stated assumptions and your inputs. Calculations are meant as estimates only and are not intended to be kept or used for any practical purpose. They are based on information from sources believed to be reliable and accurate and are not intended to be used as a substitute for professional financial advice. The calculators are not intended to be relied on for the purposes of making a decision in relation to a financial product, including a decision in relation to a particular product, fund, or strategy. Consumers should consider obtaining advice from a suitably qualified adviser before making any financial decision. Actual outcomes will depend on a range of factors outside the control of expressly disclaims all liability and responsibility to any person who relies, or partially relies, upon anything done or omitted to be done by this calculator.</t>
  </si>
  <si>
    <t>Projected Earning Rate</t>
  </si>
  <si>
    <t>payments</t>
  </si>
  <si>
    <t>PAYMENT SCHEDULE</t>
  </si>
  <si>
    <t>y</t>
  </si>
  <si>
    <t>Pensioner Full Name</t>
  </si>
  <si>
    <t>Account Based</t>
  </si>
  <si>
    <t>Nominated Pension Amount</t>
  </si>
  <si>
    <t>Member  Code</t>
  </si>
  <si>
    <t>Condition of release met</t>
  </si>
  <si>
    <t xml:space="preserve"> (if under 55)</t>
  </si>
  <si>
    <t>Sample Superannuation Fund</t>
  </si>
  <si>
    <t>John Sample</t>
  </si>
  <si>
    <t>(use previous 1 July or pension start date, whichever is later)</t>
  </si>
  <si>
    <t>Pension period start date</t>
  </si>
  <si>
    <t>AGE at start of period</t>
  </si>
  <si>
    <t>Pension1</t>
  </si>
  <si>
    <t>SMSF Minimum Pension Calculator</t>
  </si>
  <si>
    <t>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</si>
</sst>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20"/>
      <color theme="1"/>
      <name val="Calibri"/>
      <family val="2"/>
      <scheme val="minor"/>
    </font>
    <font>
      <sz val="10"/>
      <color rgb="FF333333"/>
      <name val="Arial"/>
      <family val="2"/>
    </font>
    <font>
      <b/>
      <sz val="10"/>
      <color rgb="FF333333"/>
      <name val="Arial"/>
      <family val="2"/>
    </font>
    <font>
      <u/>
      <sz val="11"/>
      <color theme="10"/>
      <name val="Calibri"/>
      <family val="2"/>
      <scheme val="minor"/>
    </font>
    <font>
      <b/>
      <sz val="20"/>
      <color theme="0"/>
      <name val="Calibri"/>
      <family val="2"/>
      <scheme val="minor"/>
    </font>
    <font>
      <i/>
      <sz val="10"/>
      <color theme="1"/>
      <name val="Calibri"/>
      <family val="2"/>
      <scheme val="minor"/>
    </font>
    <font>
      <i/>
      <sz val="9"/>
      <color theme="1"/>
      <name val="Calibri"/>
      <family val="2"/>
      <scheme val="minor"/>
    </font>
    <font>
      <sz val="11"/>
      <color rgb="FFFF0000"/>
      <name val="Calibri"/>
      <family val="2"/>
      <scheme val="minor"/>
    </font>
    <font>
      <sz val="8"/>
      <color rgb="FF333333"/>
      <name val="Arial"/>
      <family val="2"/>
    </font>
  </fonts>
  <fills count="7">
    <fill>
      <patternFill patternType="none"/>
    </fill>
    <fill>
      <patternFill patternType="gray125"/>
    </fill>
    <fill>
      <patternFill patternType="solid">
        <fgColor theme="7" tint="0.79998168889431442"/>
        <bgColor indexed="64"/>
      </patternFill>
    </fill>
    <fill>
      <patternFill patternType="solid">
        <fgColor theme="1"/>
        <bgColor indexed="64"/>
      </patternFill>
    </fill>
    <fill>
      <patternFill patternType="solid">
        <fgColor theme="0" tint="-0.499984740745262"/>
        <bgColor indexed="64"/>
      </patternFill>
    </fill>
    <fill>
      <patternFill patternType="solid">
        <fgColor theme="2"/>
        <bgColor indexed="64"/>
      </patternFill>
    </fill>
    <fill>
      <patternFill patternType="solid">
        <fgColor theme="0"/>
        <bgColor indexed="64"/>
      </patternFill>
    </fill>
  </fills>
  <borders count="14">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cellStyleXfs>
  <cellXfs count="64">
    <xf numFmtId="0" fontId="0" fillId="0" borderId="0" xfId="0"/>
    <xf numFmtId="44" fontId="0" fillId="0" borderId="0" xfId="2" applyFont="1"/>
    <xf numFmtId="44" fontId="0" fillId="0" borderId="0" xfId="0" applyNumberFormat="1"/>
    <xf numFmtId="0" fontId="0" fillId="0" borderId="0" xfId="0" applyAlignment="1">
      <alignment wrapText="1"/>
    </xf>
    <xf numFmtId="0" fontId="0" fillId="0" borderId="0" xfId="0" applyFill="1"/>
    <xf numFmtId="44" fontId="0" fillId="0" borderId="0" xfId="0" applyNumberFormat="1" applyFill="1"/>
    <xf numFmtId="43" fontId="0" fillId="0" borderId="0" xfId="1" applyFont="1" applyFill="1"/>
    <xf numFmtId="0" fontId="5" fillId="0" borderId="0" xfId="0" applyFont="1" applyAlignment="1">
      <alignment horizontal="left" vertical="center" wrapText="1"/>
    </xf>
    <xf numFmtId="0" fontId="4" fillId="0" borderId="0" xfId="0" applyFont="1" applyAlignment="1">
      <alignment horizontal="left" vertical="center" wrapText="1"/>
    </xf>
    <xf numFmtId="0" fontId="6" fillId="0" borderId="0" xfId="4"/>
    <xf numFmtId="43" fontId="0" fillId="0" borderId="0" xfId="0" applyNumberFormat="1"/>
    <xf numFmtId="44" fontId="0" fillId="2" borderId="0" xfId="2" applyFont="1" applyFill="1" applyBorder="1"/>
    <xf numFmtId="0" fontId="0" fillId="4" borderId="2" xfId="0" applyFill="1" applyBorder="1" applyAlignment="1">
      <alignment wrapText="1"/>
    </xf>
    <xf numFmtId="0" fontId="0" fillId="4" borderId="3" xfId="0" applyFill="1" applyBorder="1"/>
    <xf numFmtId="0" fontId="0" fillId="4" borderId="4" xfId="0" applyFill="1" applyBorder="1"/>
    <xf numFmtId="0" fontId="7" fillId="3" borderId="10" xfId="0" applyFont="1" applyFill="1" applyBorder="1" applyAlignment="1">
      <alignment horizontal="center"/>
    </xf>
    <xf numFmtId="0" fontId="7" fillId="3" borderId="11" xfId="0" applyFont="1" applyFill="1" applyBorder="1" applyAlignment="1">
      <alignment horizontal="center"/>
    </xf>
    <xf numFmtId="0" fontId="7" fillId="3" borderId="1" xfId="0" applyFont="1" applyFill="1" applyBorder="1" applyAlignment="1">
      <alignment horizontal="center"/>
    </xf>
    <xf numFmtId="0" fontId="0" fillId="0" borderId="12" xfId="0" applyFill="1" applyBorder="1" applyProtection="1">
      <protection locked="0"/>
    </xf>
    <xf numFmtId="0" fontId="2" fillId="0" borderId="12" xfId="0" applyFont="1" applyFill="1" applyBorder="1" applyAlignment="1" applyProtection="1">
      <alignment horizontal="left"/>
      <protection locked="0"/>
    </xf>
    <xf numFmtId="0" fontId="0" fillId="0" borderId="12" xfId="0" applyFill="1" applyBorder="1" applyAlignment="1" applyProtection="1">
      <alignment horizontal="left"/>
      <protection locked="0"/>
    </xf>
    <xf numFmtId="0" fontId="0" fillId="0" borderId="12" xfId="0" applyFill="1" applyBorder="1" applyAlignment="1" applyProtection="1">
      <alignment horizontal="left"/>
      <protection locked="0"/>
    </xf>
    <xf numFmtId="14" fontId="0" fillId="0" borderId="12" xfId="0" applyNumberFormat="1" applyFill="1" applyBorder="1" applyProtection="1">
      <protection locked="0"/>
    </xf>
    <xf numFmtId="44" fontId="0" fillId="0" borderId="12" xfId="0" applyNumberFormat="1" applyFill="1" applyBorder="1" applyAlignment="1" applyProtection="1">
      <alignment horizontal="center"/>
      <protection locked="0"/>
    </xf>
    <xf numFmtId="44" fontId="0" fillId="0" borderId="12" xfId="2" applyFont="1" applyFill="1" applyBorder="1" applyProtection="1">
      <protection locked="0"/>
    </xf>
    <xf numFmtId="0" fontId="0" fillId="0" borderId="12" xfId="0" applyFill="1" applyBorder="1" applyAlignment="1" applyProtection="1">
      <alignment horizontal="right"/>
      <protection locked="0"/>
    </xf>
    <xf numFmtId="9" fontId="0" fillId="0" borderId="12" xfId="0" applyNumberFormat="1" applyFill="1" applyBorder="1" applyProtection="1">
      <protection locked="0"/>
    </xf>
    <xf numFmtId="0" fontId="3" fillId="5" borderId="5" xfId="0" applyFont="1" applyFill="1" applyBorder="1" applyAlignment="1">
      <alignment horizontal="center"/>
    </xf>
    <xf numFmtId="0" fontId="0" fillId="5" borderId="7" xfId="0" applyFill="1" applyBorder="1" applyAlignment="1">
      <alignment wrapText="1"/>
    </xf>
    <xf numFmtId="0" fontId="3" fillId="5" borderId="0" xfId="0" applyFont="1" applyFill="1" applyBorder="1" applyAlignment="1">
      <alignment horizontal="center"/>
    </xf>
    <xf numFmtId="0" fontId="3" fillId="5" borderId="6" xfId="0" applyFont="1" applyFill="1" applyBorder="1" applyAlignment="1">
      <alignment horizontal="center"/>
    </xf>
    <xf numFmtId="0" fontId="0" fillId="5" borderId="0" xfId="0" applyFill="1" applyBorder="1"/>
    <xf numFmtId="0" fontId="0" fillId="5" borderId="6" xfId="0" applyFill="1" applyBorder="1"/>
    <xf numFmtId="0" fontId="9" fillId="5" borderId="0" xfId="0" applyFont="1" applyFill="1" applyBorder="1" applyAlignment="1">
      <alignment horizontal="left"/>
    </xf>
    <xf numFmtId="0" fontId="0" fillId="5" borderId="0" xfId="0" applyFill="1" applyBorder="1" applyAlignment="1">
      <alignment horizontal="left"/>
    </xf>
    <xf numFmtId="0" fontId="9" fillId="5" borderId="0" xfId="0" applyFont="1" applyFill="1" applyBorder="1"/>
    <xf numFmtId="0" fontId="2" fillId="5" borderId="0" xfId="0" applyFont="1" applyFill="1" applyBorder="1"/>
    <xf numFmtId="44" fontId="0" fillId="5" borderId="0" xfId="0" applyNumberFormat="1" applyFill="1" applyBorder="1"/>
    <xf numFmtId="9" fontId="0" fillId="5" borderId="0" xfId="3" applyFont="1" applyFill="1" applyBorder="1"/>
    <xf numFmtId="44" fontId="2" fillId="5" borderId="0" xfId="2" applyFont="1" applyFill="1" applyBorder="1"/>
    <xf numFmtId="44" fontId="0" fillId="5" borderId="0" xfId="2" applyFont="1" applyFill="1" applyBorder="1"/>
    <xf numFmtId="44" fontId="2" fillId="5" borderId="0" xfId="0" applyNumberFormat="1" applyFont="1" applyFill="1" applyBorder="1"/>
    <xf numFmtId="44" fontId="2" fillId="5" borderId="0" xfId="2" applyFont="1" applyFill="1" applyBorder="1" applyAlignment="1">
      <alignment horizontal="left"/>
    </xf>
    <xf numFmtId="0" fontId="0" fillId="5" borderId="8" xfId="0" applyFill="1" applyBorder="1"/>
    <xf numFmtId="0" fontId="0" fillId="5" borderId="9" xfId="0" applyFill="1" applyBorder="1"/>
    <xf numFmtId="0" fontId="2" fillId="5" borderId="0" xfId="0" applyFont="1" applyFill="1" applyBorder="1" applyAlignment="1" applyProtection="1">
      <alignment horizontal="left"/>
      <protection locked="0"/>
    </xf>
    <xf numFmtId="0" fontId="0" fillId="5" borderId="0" xfId="0" applyFill="1" applyBorder="1" applyAlignment="1" applyProtection="1">
      <alignment horizontal="left"/>
      <protection locked="0"/>
    </xf>
    <xf numFmtId="0" fontId="0" fillId="5" borderId="13" xfId="0" applyFill="1" applyBorder="1" applyProtection="1">
      <protection locked="0"/>
    </xf>
    <xf numFmtId="0" fontId="2" fillId="5" borderId="13" xfId="0" applyFont="1" applyFill="1" applyBorder="1" applyAlignment="1" applyProtection="1">
      <alignment horizontal="left"/>
      <protection locked="0"/>
    </xf>
    <xf numFmtId="0" fontId="0" fillId="5" borderId="13" xfId="0" applyFill="1" applyBorder="1" applyAlignment="1" applyProtection="1">
      <alignment horizontal="left"/>
      <protection locked="0"/>
    </xf>
    <xf numFmtId="14" fontId="0" fillId="5" borderId="13" xfId="0" applyNumberFormat="1" applyFill="1" applyBorder="1" applyProtection="1">
      <protection locked="0"/>
    </xf>
    <xf numFmtId="0" fontId="0" fillId="6" borderId="0" xfId="0" applyFill="1"/>
    <xf numFmtId="0" fontId="0" fillId="5" borderId="5" xfId="0" applyFill="1" applyBorder="1" applyAlignment="1">
      <alignment horizontal="right" wrapText="1"/>
    </xf>
    <xf numFmtId="0" fontId="2" fillId="5" borderId="5" xfId="0" applyFont="1" applyFill="1" applyBorder="1" applyAlignment="1">
      <alignment horizontal="right" wrapText="1"/>
    </xf>
    <xf numFmtId="0" fontId="8" fillId="5" borderId="5" xfId="0" applyFont="1" applyFill="1" applyBorder="1" applyAlignment="1">
      <alignment horizontal="right"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 xfId="0" applyFont="1" applyBorder="1" applyAlignment="1">
      <alignment horizontal="center" vertical="center" wrapText="1"/>
    </xf>
    <xf numFmtId="0" fontId="0" fillId="4" borderId="3" xfId="0" applyFill="1" applyBorder="1" applyAlignment="1">
      <alignment wrapText="1"/>
    </xf>
    <xf numFmtId="0" fontId="0" fillId="5" borderId="0" xfId="0" applyFill="1" applyBorder="1" applyAlignment="1">
      <alignment horizontal="right" wrapText="1"/>
    </xf>
    <xf numFmtId="0" fontId="2" fillId="5" borderId="0" xfId="0" applyFont="1" applyFill="1" applyBorder="1" applyAlignment="1">
      <alignment horizontal="right" wrapText="1"/>
    </xf>
    <xf numFmtId="0" fontId="8" fillId="5" borderId="0" xfId="0" applyFont="1" applyFill="1" applyBorder="1" applyAlignment="1">
      <alignment horizontal="right" wrapText="1"/>
    </xf>
    <xf numFmtId="0" fontId="0" fillId="5" borderId="8" xfId="0" applyFill="1" applyBorder="1" applyAlignment="1">
      <alignment wrapText="1"/>
    </xf>
    <xf numFmtId="0" fontId="10" fillId="5" borderId="0" xfId="0" applyFont="1" applyFill="1" applyBorder="1"/>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Pension Projection</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1"/>
          <c:tx>
            <c:v>Balance</c:v>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f>Factors!$C$7:$C$39</c:f>
              <c:numCache>
                <c:formatCode>General</c:formatCode>
                <c:ptCount val="33"/>
                <c:pt idx="0">
                  <c:v>65</c:v>
                </c:pt>
                <c:pt idx="1">
                  <c:v>66</c:v>
                </c:pt>
                <c:pt idx="2">
                  <c:v>67</c:v>
                </c:pt>
                <c:pt idx="3">
                  <c:v>68</c:v>
                </c:pt>
                <c:pt idx="4">
                  <c:v>69</c:v>
                </c:pt>
                <c:pt idx="5">
                  <c:v>70</c:v>
                </c:pt>
                <c:pt idx="6">
                  <c:v>71</c:v>
                </c:pt>
                <c:pt idx="7">
                  <c:v>72</c:v>
                </c:pt>
                <c:pt idx="8">
                  <c:v>73</c:v>
                </c:pt>
                <c:pt idx="9">
                  <c:v>74</c:v>
                </c:pt>
                <c:pt idx="10">
                  <c:v>75</c:v>
                </c:pt>
                <c:pt idx="11">
                  <c:v>76</c:v>
                </c:pt>
                <c:pt idx="12">
                  <c:v>77</c:v>
                </c:pt>
                <c:pt idx="13">
                  <c:v>78</c:v>
                </c:pt>
                <c:pt idx="14">
                  <c:v>79</c:v>
                </c:pt>
                <c:pt idx="15">
                  <c:v>80</c:v>
                </c:pt>
                <c:pt idx="16">
                  <c:v>81</c:v>
                </c:pt>
                <c:pt idx="17">
                  <c:v>82</c:v>
                </c:pt>
                <c:pt idx="18">
                  <c:v>83</c:v>
                </c:pt>
                <c:pt idx="19">
                  <c:v>84</c:v>
                </c:pt>
                <c:pt idx="20">
                  <c:v>85</c:v>
                </c:pt>
                <c:pt idx="21">
                  <c:v>86</c:v>
                </c:pt>
                <c:pt idx="22">
                  <c:v>87</c:v>
                </c:pt>
                <c:pt idx="23">
                  <c:v>88</c:v>
                </c:pt>
                <c:pt idx="24">
                  <c:v>89</c:v>
                </c:pt>
                <c:pt idx="25">
                  <c:v>90</c:v>
                </c:pt>
                <c:pt idx="26">
                  <c:v>91</c:v>
                </c:pt>
                <c:pt idx="27">
                  <c:v>92</c:v>
                </c:pt>
                <c:pt idx="28">
                  <c:v>93</c:v>
                </c:pt>
                <c:pt idx="29">
                  <c:v>94</c:v>
                </c:pt>
                <c:pt idx="30">
                  <c:v>95</c:v>
                </c:pt>
                <c:pt idx="31">
                  <c:v>96</c:v>
                </c:pt>
                <c:pt idx="32">
                  <c:v>97</c:v>
                </c:pt>
              </c:numCache>
            </c:numRef>
          </c:cat>
          <c:val>
            <c:numRef>
              <c:f>Factors!$E$7:$E$39</c:f>
              <c:numCache>
                <c:formatCode>_("$"* #,##0.00_);_("$"* \(#,##0.00\);_("$"* "-"??_);_(@_)</c:formatCode>
                <c:ptCount val="33"/>
                <c:pt idx="0">
                  <c:v>1346017.5571910669</c:v>
                </c:pt>
                <c:pt idx="1">
                  <c:v>1326398.0839067989</c:v>
                </c:pt>
                <c:pt idx="2">
                  <c:v>1306190.0264240028</c:v>
                </c:pt>
                <c:pt idx="3">
                  <c:v>1285375.7272167229</c:v>
                </c:pt>
                <c:pt idx="4">
                  <c:v>1263936.9990332245</c:v>
                </c:pt>
                <c:pt idx="5">
                  <c:v>1241855.1090042214</c:v>
                </c:pt>
                <c:pt idx="6">
                  <c:v>1219110.7622743482</c:v>
                </c:pt>
                <c:pt idx="7">
                  <c:v>1195684.0851425787</c:v>
                </c:pt>
                <c:pt idx="8">
                  <c:v>1171554.6076968561</c:v>
                </c:pt>
                <c:pt idx="9">
                  <c:v>1146701.2459277618</c:v>
                </c:pt>
                <c:pt idx="10">
                  <c:v>1121102.2833055947</c:v>
                </c:pt>
                <c:pt idx="11">
                  <c:v>1094735.3518047626</c:v>
                </c:pt>
                <c:pt idx="12">
                  <c:v>1067577.4123589054</c:v>
                </c:pt>
                <c:pt idx="13">
                  <c:v>1039604.7347296725</c:v>
                </c:pt>
                <c:pt idx="14">
                  <c:v>1010792.8767715627</c:v>
                </c:pt>
                <c:pt idx="15">
                  <c:v>981116.66307470959</c:v>
                </c:pt>
                <c:pt idx="16">
                  <c:v>950550.16296695091</c:v>
                </c:pt>
                <c:pt idx="17">
                  <c:v>919066.6678559595</c:v>
                </c:pt>
                <c:pt idx="18">
                  <c:v>886638.66789163835</c:v>
                </c:pt>
                <c:pt idx="19">
                  <c:v>853237.82792838756</c:v>
                </c:pt>
                <c:pt idx="20">
                  <c:v>818834.96276623919</c:v>
                </c:pt>
                <c:pt idx="21">
                  <c:v>783400.01164922642</c:v>
                </c:pt>
                <c:pt idx="22">
                  <c:v>746902.01199870324</c:v>
                </c:pt>
                <c:pt idx="23">
                  <c:v>709309.07235866436</c:v>
                </c:pt>
                <c:pt idx="24">
                  <c:v>670588.34452942433</c:v>
                </c:pt>
                <c:pt idx="25">
                  <c:v>630705.99486530712</c:v>
                </c:pt>
                <c:pt idx="26">
                  <c:v>589627.1747112663</c:v>
                </c:pt>
                <c:pt idx="27">
                  <c:v>547315.98995260429</c:v>
                </c:pt>
                <c:pt idx="28">
                  <c:v>503735.46965118241</c:v>
                </c:pt>
                <c:pt idx="29">
                  <c:v>458847.53374071792</c:v>
                </c:pt>
                <c:pt idx="30">
                  <c:v>412612.95975293947</c:v>
                </c:pt>
                <c:pt idx="31">
                  <c:v>364991.34854552767</c:v>
                </c:pt>
                <c:pt idx="32">
                  <c:v>315941.08900189353</c:v>
                </c:pt>
              </c:numCache>
            </c:numRef>
          </c:val>
        </c:ser>
        <c:dLbls>
          <c:showLegendKey val="0"/>
          <c:showVal val="0"/>
          <c:showCatName val="0"/>
          <c:showSerName val="0"/>
          <c:showPercent val="0"/>
          <c:showBubbleSize val="0"/>
        </c:dLbls>
        <c:gapWidth val="100"/>
        <c:overlap val="-24"/>
        <c:axId val="322421664"/>
        <c:axId val="322422056"/>
        <c:extLst>
          <c:ext xmlns:c15="http://schemas.microsoft.com/office/drawing/2012/chart" uri="{02D57815-91ED-43cb-92C2-25804820EDAC}">
            <c15:filteredBarSeries>
              <c15: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extLst>
                      <c:ext uri="{02D57815-91ED-43cb-92C2-25804820EDAC}">
                        <c15:formulaRef>
                          <c15:sqref>Factors!$C$7:$C$39</c15:sqref>
                        </c15:formulaRef>
                      </c:ext>
                    </c:extLst>
                    <c:numCache>
                      <c:formatCode>General</c:formatCode>
                      <c:ptCount val="33"/>
                      <c:pt idx="0">
                        <c:v>65</c:v>
                      </c:pt>
                      <c:pt idx="1">
                        <c:v>66</c:v>
                      </c:pt>
                      <c:pt idx="2">
                        <c:v>67</c:v>
                      </c:pt>
                      <c:pt idx="3">
                        <c:v>68</c:v>
                      </c:pt>
                      <c:pt idx="4">
                        <c:v>69</c:v>
                      </c:pt>
                      <c:pt idx="5">
                        <c:v>70</c:v>
                      </c:pt>
                      <c:pt idx="6">
                        <c:v>71</c:v>
                      </c:pt>
                      <c:pt idx="7">
                        <c:v>72</c:v>
                      </c:pt>
                      <c:pt idx="8">
                        <c:v>73</c:v>
                      </c:pt>
                      <c:pt idx="9">
                        <c:v>74</c:v>
                      </c:pt>
                      <c:pt idx="10">
                        <c:v>75</c:v>
                      </c:pt>
                      <c:pt idx="11">
                        <c:v>76</c:v>
                      </c:pt>
                      <c:pt idx="12">
                        <c:v>77</c:v>
                      </c:pt>
                      <c:pt idx="13">
                        <c:v>78</c:v>
                      </c:pt>
                      <c:pt idx="14">
                        <c:v>79</c:v>
                      </c:pt>
                      <c:pt idx="15">
                        <c:v>80</c:v>
                      </c:pt>
                      <c:pt idx="16">
                        <c:v>81</c:v>
                      </c:pt>
                      <c:pt idx="17">
                        <c:v>82</c:v>
                      </c:pt>
                      <c:pt idx="18">
                        <c:v>83</c:v>
                      </c:pt>
                      <c:pt idx="19">
                        <c:v>84</c:v>
                      </c:pt>
                      <c:pt idx="20">
                        <c:v>85</c:v>
                      </c:pt>
                      <c:pt idx="21">
                        <c:v>86</c:v>
                      </c:pt>
                      <c:pt idx="22">
                        <c:v>87</c:v>
                      </c:pt>
                      <c:pt idx="23">
                        <c:v>88</c:v>
                      </c:pt>
                      <c:pt idx="24">
                        <c:v>89</c:v>
                      </c:pt>
                      <c:pt idx="25">
                        <c:v>90</c:v>
                      </c:pt>
                      <c:pt idx="26">
                        <c:v>91</c:v>
                      </c:pt>
                      <c:pt idx="27">
                        <c:v>92</c:v>
                      </c:pt>
                      <c:pt idx="28">
                        <c:v>93</c:v>
                      </c:pt>
                      <c:pt idx="29">
                        <c:v>94</c:v>
                      </c:pt>
                      <c:pt idx="30">
                        <c:v>95</c:v>
                      </c:pt>
                      <c:pt idx="31">
                        <c:v>96</c:v>
                      </c:pt>
                      <c:pt idx="32">
                        <c:v>97</c:v>
                      </c:pt>
                    </c:numCache>
                  </c:numRef>
                </c:cat>
                <c:val>
                  <c:numRef>
                    <c:extLst>
                      <c:ext uri="{02D57815-91ED-43cb-92C2-25804820EDAC}">
                        <c15:formulaRef>
                          <c15:sqref>Factors!$A$7:$A$39</c15:sqref>
                        </c15:formulaRef>
                      </c:ext>
                    </c:extLst>
                    <c:numCache>
                      <c:formatCode>General</c:formatCode>
                      <c:ptCount val="33"/>
                      <c:pt idx="0">
                        <c:v>65</c:v>
                      </c:pt>
                      <c:pt idx="1">
                        <c:v>66</c:v>
                      </c:pt>
                      <c:pt idx="2">
                        <c:v>67</c:v>
                      </c:pt>
                      <c:pt idx="3">
                        <c:v>68</c:v>
                      </c:pt>
                      <c:pt idx="4">
                        <c:v>69</c:v>
                      </c:pt>
                      <c:pt idx="5">
                        <c:v>70</c:v>
                      </c:pt>
                      <c:pt idx="6">
                        <c:v>71</c:v>
                      </c:pt>
                      <c:pt idx="7">
                        <c:v>72</c:v>
                      </c:pt>
                      <c:pt idx="8">
                        <c:v>73</c:v>
                      </c:pt>
                      <c:pt idx="9">
                        <c:v>74</c:v>
                      </c:pt>
                      <c:pt idx="10">
                        <c:v>75</c:v>
                      </c:pt>
                      <c:pt idx="11">
                        <c:v>76</c:v>
                      </c:pt>
                      <c:pt idx="12">
                        <c:v>77</c:v>
                      </c:pt>
                      <c:pt idx="13">
                        <c:v>78</c:v>
                      </c:pt>
                      <c:pt idx="14">
                        <c:v>79</c:v>
                      </c:pt>
                      <c:pt idx="15">
                        <c:v>80</c:v>
                      </c:pt>
                      <c:pt idx="16">
                        <c:v>81</c:v>
                      </c:pt>
                      <c:pt idx="17">
                        <c:v>82</c:v>
                      </c:pt>
                      <c:pt idx="18">
                        <c:v>83</c:v>
                      </c:pt>
                      <c:pt idx="19">
                        <c:v>84</c:v>
                      </c:pt>
                      <c:pt idx="20">
                        <c:v>85</c:v>
                      </c:pt>
                      <c:pt idx="21">
                        <c:v>86</c:v>
                      </c:pt>
                      <c:pt idx="22">
                        <c:v>87</c:v>
                      </c:pt>
                      <c:pt idx="23">
                        <c:v>88</c:v>
                      </c:pt>
                      <c:pt idx="24">
                        <c:v>89</c:v>
                      </c:pt>
                      <c:pt idx="25">
                        <c:v>90</c:v>
                      </c:pt>
                      <c:pt idx="26">
                        <c:v>91</c:v>
                      </c:pt>
                      <c:pt idx="27">
                        <c:v>92</c:v>
                      </c:pt>
                      <c:pt idx="28">
                        <c:v>93</c:v>
                      </c:pt>
                      <c:pt idx="29">
                        <c:v>94</c:v>
                      </c:pt>
                      <c:pt idx="30">
                        <c:v>95</c:v>
                      </c:pt>
                      <c:pt idx="31">
                        <c:v>96</c:v>
                      </c:pt>
                      <c:pt idx="32">
                        <c:v>97</c:v>
                      </c:pt>
                    </c:numCache>
                  </c:numRef>
                </c:val>
              </c15:ser>
            </c15:filteredBarSeries>
          </c:ext>
        </c:extLst>
      </c:barChart>
      <c:catAx>
        <c:axId val="32242166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2422056"/>
        <c:crosses val="autoZero"/>
        <c:auto val="1"/>
        <c:lblAlgn val="ctr"/>
        <c:lblOffset val="100"/>
        <c:noMultiLvlLbl val="0"/>
      </c:catAx>
      <c:valAx>
        <c:axId val="322422056"/>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2421664"/>
        <c:crosses val="autoZero"/>
        <c:crossBetween val="between"/>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561975</xdr:colOff>
      <xdr:row>33</xdr:row>
      <xdr:rowOff>57150</xdr:rowOff>
    </xdr:from>
    <xdr:to>
      <xdr:col>8</xdr:col>
      <xdr:colOff>581025</xdr:colOff>
      <xdr:row>47</xdr:row>
      <xdr:rowOff>176212</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55"/>
  <sheetViews>
    <sheetView showGridLines="0" tabSelected="1" zoomScaleNormal="100" workbookViewId="0">
      <selection activeCell="D4" sqref="D4"/>
    </sheetView>
  </sheetViews>
  <sheetFormatPr defaultRowHeight="15" x14ac:dyDescent="0.25"/>
  <cols>
    <col min="1" max="1" width="2.85546875" customWidth="1"/>
    <col min="2" max="2" width="34" style="3" customWidth="1"/>
    <col min="3" max="3" width="2.28515625" style="3" customWidth="1"/>
    <col min="4" max="4" width="15.28515625" bestFit="1" customWidth="1"/>
    <col min="5" max="5" width="13.5703125" customWidth="1"/>
    <col min="6" max="6" width="12.42578125" customWidth="1"/>
    <col min="7" max="7" width="14.7109375" customWidth="1"/>
    <col min="8" max="8" width="5.5703125" customWidth="1"/>
    <col min="9" max="9" width="2.42578125" customWidth="1"/>
    <col min="10" max="10" width="16.28515625" hidden="1" customWidth="1"/>
    <col min="12" max="12" width="9.140625" style="51"/>
  </cols>
  <sheetData>
    <row r="1" spans="2:10" ht="3.75" customHeight="1" x14ac:dyDescent="0.25">
      <c r="B1" s="12"/>
      <c r="C1" s="58"/>
      <c r="D1" s="13"/>
      <c r="E1" s="13"/>
      <c r="F1" s="13"/>
      <c r="G1" s="13"/>
      <c r="H1" s="13"/>
      <c r="I1" s="14"/>
    </row>
    <row r="2" spans="2:10" ht="26.25" x14ac:dyDescent="0.4">
      <c r="B2" s="15" t="s">
        <v>32</v>
      </c>
      <c r="C2" s="16"/>
      <c r="D2" s="16"/>
      <c r="E2" s="16"/>
      <c r="F2" s="16"/>
      <c r="G2" s="16"/>
      <c r="H2" s="16"/>
      <c r="I2" s="17"/>
    </row>
    <row r="3" spans="2:10" ht="8.25" customHeight="1" x14ac:dyDescent="0.4">
      <c r="B3" s="27"/>
      <c r="C3" s="29"/>
      <c r="D3" s="29"/>
      <c r="E3" s="29"/>
      <c r="F3" s="29"/>
      <c r="G3" s="29"/>
      <c r="H3" s="29"/>
      <c r="I3" s="30"/>
    </row>
    <row r="4" spans="2:10" x14ac:dyDescent="0.25">
      <c r="B4" s="52" t="s">
        <v>12</v>
      </c>
      <c r="C4" s="59"/>
      <c r="D4" s="18" t="s">
        <v>21</v>
      </c>
      <c r="E4" s="31"/>
      <c r="F4" s="31"/>
      <c r="G4" s="31"/>
      <c r="H4" s="31"/>
      <c r="I4" s="32"/>
    </row>
    <row r="5" spans="2:10" ht="5.25" customHeight="1" x14ac:dyDescent="0.25">
      <c r="B5" s="52"/>
      <c r="C5" s="59"/>
      <c r="D5" s="47"/>
      <c r="E5" s="31"/>
      <c r="F5" s="31"/>
      <c r="G5" s="31"/>
      <c r="H5" s="31"/>
      <c r="I5" s="32"/>
    </row>
    <row r="6" spans="2:10" x14ac:dyDescent="0.25">
      <c r="B6" s="52" t="s">
        <v>0</v>
      </c>
      <c r="C6" s="59"/>
      <c r="D6" s="19" t="s">
        <v>26</v>
      </c>
      <c r="E6" s="19"/>
      <c r="F6" s="19"/>
      <c r="G6" s="19"/>
      <c r="H6" s="31"/>
      <c r="I6" s="32"/>
    </row>
    <row r="7" spans="2:10" ht="5.25" customHeight="1" x14ac:dyDescent="0.25">
      <c r="B7" s="52"/>
      <c r="C7" s="59"/>
      <c r="D7" s="48"/>
      <c r="E7" s="48"/>
      <c r="F7" s="45"/>
      <c r="G7" s="45"/>
      <c r="H7" s="31"/>
      <c r="I7" s="32"/>
    </row>
    <row r="8" spans="2:10" x14ac:dyDescent="0.25">
      <c r="B8" s="52" t="s">
        <v>20</v>
      </c>
      <c r="C8" s="59"/>
      <c r="D8" s="20" t="s">
        <v>27</v>
      </c>
      <c r="E8" s="20"/>
      <c r="F8" s="31"/>
      <c r="G8" s="31"/>
      <c r="H8" s="31"/>
      <c r="I8" s="32"/>
      <c r="J8" s="4"/>
    </row>
    <row r="9" spans="2:10" ht="6" customHeight="1" x14ac:dyDescent="0.25">
      <c r="B9" s="52"/>
      <c r="C9" s="59"/>
      <c r="D9" s="49"/>
      <c r="E9" s="46"/>
      <c r="F9" s="31"/>
      <c r="G9" s="31"/>
      <c r="H9" s="31"/>
      <c r="I9" s="32"/>
      <c r="J9" s="4"/>
    </row>
    <row r="10" spans="2:10" x14ac:dyDescent="0.25">
      <c r="B10" s="52" t="s">
        <v>23</v>
      </c>
      <c r="C10" s="59"/>
      <c r="D10" s="21" t="s">
        <v>31</v>
      </c>
      <c r="E10" s="31"/>
      <c r="F10" s="31"/>
      <c r="G10" s="31"/>
      <c r="H10" s="31"/>
      <c r="I10" s="32"/>
      <c r="J10" s="4"/>
    </row>
    <row r="11" spans="2:10" ht="6" customHeight="1" x14ac:dyDescent="0.25">
      <c r="B11" s="52"/>
      <c r="C11" s="59"/>
      <c r="D11" s="49"/>
      <c r="E11" s="31"/>
      <c r="F11" s="31"/>
      <c r="G11" s="31"/>
      <c r="H11" s="31"/>
      <c r="I11" s="32"/>
      <c r="J11" s="4"/>
    </row>
    <row r="12" spans="2:10" x14ac:dyDescent="0.25">
      <c r="B12" s="52" t="s">
        <v>1</v>
      </c>
      <c r="C12" s="59"/>
      <c r="D12" s="22">
        <v>20223</v>
      </c>
      <c r="E12" s="33" t="s">
        <v>30</v>
      </c>
      <c r="F12" s="31"/>
      <c r="G12" s="34">
        <f>ROUNDDOWN(((D14-D12)/365.25),0)</f>
        <v>60</v>
      </c>
      <c r="H12" s="31"/>
      <c r="I12" s="32"/>
    </row>
    <row r="13" spans="2:10" ht="4.5" customHeight="1" x14ac:dyDescent="0.25">
      <c r="B13" s="52"/>
      <c r="C13" s="59"/>
      <c r="D13" s="50"/>
      <c r="E13" s="33"/>
      <c r="F13" s="31"/>
      <c r="G13" s="34"/>
      <c r="H13" s="31"/>
      <c r="I13" s="32"/>
    </row>
    <row r="14" spans="2:10" x14ac:dyDescent="0.25">
      <c r="B14" s="52" t="s">
        <v>29</v>
      </c>
      <c r="C14" s="59"/>
      <c r="D14" s="22">
        <v>42186</v>
      </c>
      <c r="E14" s="35" t="s">
        <v>28</v>
      </c>
      <c r="F14" s="31"/>
      <c r="G14" s="31"/>
      <c r="H14" s="31"/>
      <c r="I14" s="32"/>
      <c r="J14" s="4">
        <f>YEAR(D16)</f>
        <v>2016</v>
      </c>
    </row>
    <row r="15" spans="2:10" ht="6" customHeight="1" x14ac:dyDescent="0.25">
      <c r="B15" s="52"/>
      <c r="C15" s="59"/>
      <c r="D15" s="50"/>
      <c r="E15" s="35"/>
      <c r="F15" s="31"/>
      <c r="G15" s="31"/>
      <c r="H15" s="31"/>
      <c r="I15" s="32"/>
      <c r="J15" s="4"/>
    </row>
    <row r="16" spans="2:10" x14ac:dyDescent="0.25">
      <c r="B16" s="52" t="s">
        <v>2</v>
      </c>
      <c r="C16" s="59"/>
      <c r="D16" s="22">
        <v>42551</v>
      </c>
      <c r="E16" s="31" t="str">
        <f>IF(D16-D14&gt;365,"Error Period &gt;1 year","")</f>
        <v/>
      </c>
      <c r="F16" s="31"/>
      <c r="G16" s="31"/>
      <c r="H16" s="31"/>
      <c r="I16" s="32"/>
      <c r="J16" s="6">
        <f>ROUNDUP(IF((D16-D14+1)/365&gt;1,1,(D16-D14+1)/365),2)</f>
        <v>1</v>
      </c>
    </row>
    <row r="17" spans="1:10" ht="4.5" customHeight="1" x14ac:dyDescent="0.25">
      <c r="B17" s="52"/>
      <c r="C17" s="59"/>
      <c r="D17" s="50"/>
      <c r="E17" s="31"/>
      <c r="F17" s="31"/>
      <c r="G17" s="31"/>
      <c r="H17" s="31"/>
      <c r="I17" s="32"/>
      <c r="J17" s="6"/>
    </row>
    <row r="18" spans="1:10" x14ac:dyDescent="0.25">
      <c r="B18" s="52" t="s">
        <v>8</v>
      </c>
      <c r="C18" s="59"/>
      <c r="D18" s="24">
        <v>1452300</v>
      </c>
      <c r="E18" s="31"/>
      <c r="F18" s="31"/>
      <c r="G18" s="31"/>
      <c r="H18" s="31"/>
      <c r="I18" s="32"/>
      <c r="J18" s="5">
        <f>D18</f>
        <v>1452300</v>
      </c>
    </row>
    <row r="19" spans="1:10" x14ac:dyDescent="0.25">
      <c r="B19" s="52" t="s">
        <v>9</v>
      </c>
      <c r="C19" s="59"/>
      <c r="D19" s="38">
        <f>VLOOKUP(G12,Factors!A2:B39,2,FALSE)/100</f>
        <v>0.04</v>
      </c>
      <c r="E19" s="31"/>
      <c r="F19" s="31"/>
      <c r="G19" s="31"/>
      <c r="H19" s="31"/>
      <c r="I19" s="32"/>
      <c r="J19" t="s">
        <v>17</v>
      </c>
    </row>
    <row r="20" spans="1:10" x14ac:dyDescent="0.25">
      <c r="B20" s="52"/>
      <c r="C20" s="59"/>
      <c r="D20" s="39" t="s">
        <v>5</v>
      </c>
      <c r="E20" s="36" t="s">
        <v>6</v>
      </c>
      <c r="F20" s="36" t="s">
        <v>7</v>
      </c>
      <c r="G20" s="31"/>
      <c r="H20" s="31"/>
      <c r="I20" s="32"/>
      <c r="J20" s="10">
        <f>IF(D28="Monthly",12*J16,IF(D28="quarterly",4*J16,1))</f>
        <v>12</v>
      </c>
    </row>
    <row r="21" spans="1:10" x14ac:dyDescent="0.25">
      <c r="B21" s="52" t="s">
        <v>3</v>
      </c>
      <c r="C21" s="59"/>
      <c r="D21" s="40">
        <f>ROUNDUP((D18*D19)/10,0)*10</f>
        <v>58100</v>
      </c>
      <c r="E21" s="37">
        <f>D21/4</f>
        <v>14525</v>
      </c>
      <c r="F21" s="37">
        <f>D21/12</f>
        <v>4841.666666666667</v>
      </c>
      <c r="G21" s="31"/>
      <c r="H21" s="31"/>
      <c r="I21" s="32"/>
      <c r="J21" s="11">
        <f>ROUND(D26/J20,2)</f>
        <v>5000</v>
      </c>
    </row>
    <row r="22" spans="1:10" x14ac:dyDescent="0.25">
      <c r="B22" s="53" t="s">
        <v>4</v>
      </c>
      <c r="C22" s="60"/>
      <c r="D22" s="41">
        <f>ROUNDUP(D21*J16/10,0)*10</f>
        <v>58100</v>
      </c>
      <c r="E22" s="37"/>
      <c r="F22" s="37"/>
      <c r="G22" s="31"/>
      <c r="H22" s="31"/>
      <c r="I22" s="32"/>
      <c r="J22" s="10"/>
    </row>
    <row r="23" spans="1:10" x14ac:dyDescent="0.25">
      <c r="B23" s="52"/>
      <c r="C23" s="59"/>
      <c r="D23" s="31"/>
      <c r="E23" s="31"/>
      <c r="F23" s="31"/>
      <c r="G23" s="31"/>
      <c r="H23" s="31"/>
      <c r="I23" s="32"/>
      <c r="J23" s="1">
        <f>D26/J16</f>
        <v>60000</v>
      </c>
    </row>
    <row r="24" spans="1:10" ht="16.5" customHeight="1" x14ac:dyDescent="0.25">
      <c r="B24" s="52" t="s">
        <v>24</v>
      </c>
      <c r="C24" s="59"/>
      <c r="D24" s="23"/>
      <c r="E24" s="31" t="s">
        <v>25</v>
      </c>
      <c r="F24" s="63" t="str">
        <f>IF(G12&lt;55,IF(D24&lt;&gt;"Y","Not eligible for pension","ok"),"")</f>
        <v/>
      </c>
      <c r="G24" s="31"/>
      <c r="H24" s="31"/>
      <c r="I24" s="32"/>
      <c r="J24" t="s">
        <v>19</v>
      </c>
    </row>
    <row r="25" spans="1:10" x14ac:dyDescent="0.25">
      <c r="B25" s="52"/>
      <c r="C25" s="59"/>
      <c r="D25" s="31"/>
      <c r="E25" s="31"/>
      <c r="F25" s="31" t="str">
        <f>IF(D26&lt;D22,"ERROR, Amount is less than Minimum","")</f>
        <v/>
      </c>
      <c r="G25" s="31"/>
      <c r="H25" s="31"/>
      <c r="I25" s="32"/>
      <c r="J25" t="s">
        <v>33</v>
      </c>
    </row>
    <row r="26" spans="1:10" x14ac:dyDescent="0.25">
      <c r="A26" t="s">
        <v>10</v>
      </c>
      <c r="B26" s="52" t="s">
        <v>22</v>
      </c>
      <c r="C26" s="59"/>
      <c r="D26" s="24">
        <v>60000</v>
      </c>
      <c r="E26" s="31"/>
      <c r="F26" s="31"/>
      <c r="G26" s="31"/>
      <c r="H26" s="31"/>
      <c r="I26" s="32"/>
    </row>
    <row r="27" spans="1:10" x14ac:dyDescent="0.25">
      <c r="B27" s="54" t="str">
        <f>"(must beat least $ "&amp;D22&amp;")"</f>
        <v>(must beat least $ 58100)</v>
      </c>
      <c r="C27" s="61"/>
      <c r="D27" s="31"/>
      <c r="E27" s="31"/>
      <c r="F27" s="31"/>
      <c r="G27" s="31"/>
      <c r="H27" s="31"/>
      <c r="I27" s="32"/>
    </row>
    <row r="28" spans="1:10" x14ac:dyDescent="0.25">
      <c r="B28" s="52" t="s">
        <v>11</v>
      </c>
      <c r="C28" s="59"/>
      <c r="D28" s="25" t="s">
        <v>7</v>
      </c>
      <c r="E28" s="31"/>
      <c r="F28" s="31"/>
      <c r="G28" s="31"/>
      <c r="H28" s="31"/>
      <c r="I28" s="32"/>
    </row>
    <row r="29" spans="1:10" x14ac:dyDescent="0.25">
      <c r="B29" s="52" t="s">
        <v>18</v>
      </c>
      <c r="C29" s="59"/>
      <c r="D29" s="42" t="str">
        <f>J20&amp;" "&amp;D28&amp;" payments of "&amp;TEXT(J21,"$##,###.##")</f>
        <v>12 Monthly payments of $5,000.</v>
      </c>
      <c r="E29" s="42"/>
      <c r="F29" s="42"/>
      <c r="G29" s="42"/>
      <c r="H29" s="31"/>
      <c r="I29" s="32"/>
    </row>
    <row r="30" spans="1:10" x14ac:dyDescent="0.25">
      <c r="B30" s="52"/>
      <c r="C30" s="59"/>
      <c r="D30" s="31"/>
      <c r="E30" s="31"/>
      <c r="F30" s="31"/>
      <c r="G30" s="31"/>
      <c r="H30" s="31"/>
      <c r="I30" s="32"/>
    </row>
    <row r="31" spans="1:10" x14ac:dyDescent="0.25">
      <c r="B31" s="52" t="s">
        <v>16</v>
      </c>
      <c r="C31" s="59"/>
      <c r="D31" s="26">
        <v>0.03</v>
      </c>
      <c r="E31" s="31"/>
      <c r="F31" s="31"/>
      <c r="G31" s="31"/>
      <c r="H31" s="31"/>
      <c r="I31" s="32"/>
    </row>
    <row r="32" spans="1:10" x14ac:dyDescent="0.25">
      <c r="B32" s="52" t="s">
        <v>13</v>
      </c>
      <c r="C32" s="59"/>
      <c r="D32" s="31"/>
      <c r="E32" s="31"/>
      <c r="F32" s="31"/>
      <c r="G32" s="31"/>
      <c r="H32" s="31"/>
      <c r="I32" s="32"/>
    </row>
    <row r="33" spans="2:9" x14ac:dyDescent="0.25">
      <c r="B33" s="28"/>
      <c r="C33" s="62"/>
      <c r="D33" s="43"/>
      <c r="E33" s="43"/>
      <c r="F33" s="43"/>
      <c r="G33" s="43"/>
      <c r="H33" s="43"/>
      <c r="I33" s="44"/>
    </row>
    <row r="50" spans="2:9" x14ac:dyDescent="0.25">
      <c r="B50" s="7" t="s">
        <v>14</v>
      </c>
      <c r="C50" s="7"/>
    </row>
    <row r="51" spans="2:9" ht="90" customHeight="1" x14ac:dyDescent="0.25">
      <c r="B51" s="55" t="s">
        <v>15</v>
      </c>
      <c r="C51" s="56"/>
      <c r="D51" s="56"/>
      <c r="E51" s="56"/>
      <c r="F51" s="56"/>
      <c r="G51" s="56"/>
      <c r="H51" s="56"/>
      <c r="I51" s="57"/>
    </row>
    <row r="52" spans="2:9" x14ac:dyDescent="0.25">
      <c r="B52" s="7"/>
      <c r="C52" s="7"/>
    </row>
    <row r="53" spans="2:9" x14ac:dyDescent="0.25">
      <c r="B53" s="9"/>
      <c r="C53" s="9"/>
    </row>
    <row r="54" spans="2:9" x14ac:dyDescent="0.25">
      <c r="B54" s="8"/>
      <c r="C54" s="8"/>
    </row>
    <row r="55" spans="2:9" x14ac:dyDescent="0.25">
      <c r="B55" s="8"/>
      <c r="C55" s="8"/>
    </row>
  </sheetData>
  <sheetProtection sheet="1" objects="1" scenarios="1" selectLockedCells="1"/>
  <mergeCells count="5">
    <mergeCell ref="B2:I2"/>
    <mergeCell ref="B51:I51"/>
    <mergeCell ref="D8:E8"/>
    <mergeCell ref="D6:G6"/>
    <mergeCell ref="D29:G29"/>
  </mergeCells>
  <dataValidations count="1">
    <dataValidation type="list" allowBlank="1" showInputMessage="1" showErrorMessage="1" sqref="D24">
      <formula1>$J$24:$J$25</formula1>
    </dataValidation>
  </dataValidations>
  <pageMargins left="0.25" right="0.25" top="0.75" bottom="0.75" header="0.3" footer="0.3"/>
  <pageSetup paperSize="9" scale="9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Factors!$A$44:$A$46</xm:f>
          </x14:formula1>
          <xm:sqref>D28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7" sqref="C7"/>
    </sheetView>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46"/>
  <sheetViews>
    <sheetView workbookViewId="0">
      <selection sqref="A1:XFD1048576"/>
    </sheetView>
  </sheetViews>
  <sheetFormatPr defaultRowHeight="15" x14ac:dyDescent="0.25"/>
  <cols>
    <col min="4" max="4" width="23.140625" customWidth="1"/>
    <col min="5" max="5" width="23.140625" style="1" customWidth="1"/>
    <col min="6" max="6" width="17.85546875" customWidth="1"/>
  </cols>
  <sheetData>
    <row r="2" spans="1:6" x14ac:dyDescent="0.25">
      <c r="A2">
        <v>60</v>
      </c>
      <c r="B2">
        <v>4</v>
      </c>
      <c r="C2">
        <f>IF(Calculator!$G$12&gt;A2,"",A2)</f>
        <v>60</v>
      </c>
      <c r="D2">
        <f>IF(C2=Calculator!$G$12,Calculator!$J$18,0)</f>
        <v>1452300</v>
      </c>
      <c r="E2" s="1">
        <f>IF(E1+D2&gt;0,(E1+D2)*(1+Calculator!$D$31)-Calculator!$D$26/Calculator!$J$16,0)</f>
        <v>1435869</v>
      </c>
      <c r="F2" s="2"/>
    </row>
    <row r="3" spans="1:6" x14ac:dyDescent="0.25">
      <c r="A3">
        <v>61</v>
      </c>
      <c r="B3">
        <v>4</v>
      </c>
      <c r="C3">
        <f>IF(Calculator!$G$12&gt;A3,"",A3)</f>
        <v>61</v>
      </c>
      <c r="D3">
        <f>IF(C3=Calculator!$G$12,Calculator!$J$18,0)</f>
        <v>0</v>
      </c>
      <c r="E3" s="1">
        <f>IF(E2+D3&gt;0,(E2+D3)*(1+Calculator!$D$31)-Calculator!$D$26/Calculator!$J$16,0)</f>
        <v>1418945.07</v>
      </c>
      <c r="F3" s="2"/>
    </row>
    <row r="4" spans="1:6" x14ac:dyDescent="0.25">
      <c r="A4">
        <v>62</v>
      </c>
      <c r="B4">
        <v>4</v>
      </c>
      <c r="C4">
        <f>IF(Calculator!$G$12&gt;A4,"",A4)</f>
        <v>62</v>
      </c>
      <c r="D4">
        <f>IF(C4=Calculator!$G$12,Calculator!$J$18,0)</f>
        <v>0</v>
      </c>
      <c r="E4" s="1">
        <f>IF(E3+D4&gt;0,(E3+D4)*(1+Calculator!$D$31)-Calculator!$D$26/Calculator!$J$16,0)</f>
        <v>1401513.4221000001</v>
      </c>
      <c r="F4" s="2"/>
    </row>
    <row r="5" spans="1:6" x14ac:dyDescent="0.25">
      <c r="A5">
        <v>63</v>
      </c>
      <c r="B5">
        <v>4</v>
      </c>
      <c r="C5">
        <f>IF(Calculator!$G$12&gt;A5,"",A5)</f>
        <v>63</v>
      </c>
      <c r="D5">
        <f>IF(C5=Calculator!$G$12,Calculator!$J$18,0)</f>
        <v>0</v>
      </c>
      <c r="E5" s="1">
        <f>IF(E4+D5&gt;0,(E4+D5)*(1+Calculator!$D$31)-Calculator!$D$26/Calculator!$J$16,0)</f>
        <v>1383558.824763</v>
      </c>
      <c r="F5" s="2"/>
    </row>
    <row r="6" spans="1:6" x14ac:dyDescent="0.25">
      <c r="A6">
        <v>64</v>
      </c>
      <c r="B6">
        <v>4</v>
      </c>
      <c r="C6">
        <f>IF(Calculator!$G$12&gt;A6,"",A6)</f>
        <v>64</v>
      </c>
      <c r="D6">
        <f>IF(C6=Calculator!$G$12,Calculator!$J$18,0)</f>
        <v>0</v>
      </c>
      <c r="E6" s="1">
        <f>IF(E5+D6&gt;0,(E5+D6)*(1+Calculator!$D$31)-Calculator!$J$23,0)</f>
        <v>1365065.5895058902</v>
      </c>
      <c r="F6" s="2"/>
    </row>
    <row r="7" spans="1:6" x14ac:dyDescent="0.25">
      <c r="A7">
        <v>65</v>
      </c>
      <c r="B7">
        <v>5</v>
      </c>
      <c r="C7">
        <f>IF(Calculator!$G$12&gt;A7,"",A7)</f>
        <v>65</v>
      </c>
      <c r="D7">
        <f>IF(C7=Calculator!$G$12,Calculator!$J$18,0)</f>
        <v>0</v>
      </c>
      <c r="E7" s="1">
        <f>IF(E6+D7&gt;0,(E6+D7)*(1+Calculator!$D$31)-Calculator!$J$23,0)</f>
        <v>1346017.5571910669</v>
      </c>
      <c r="F7" s="2"/>
    </row>
    <row r="8" spans="1:6" x14ac:dyDescent="0.25">
      <c r="A8">
        <v>66</v>
      </c>
      <c r="B8">
        <v>5</v>
      </c>
      <c r="C8">
        <f>IF(Calculator!$G$12&gt;A8,"",A8)</f>
        <v>66</v>
      </c>
      <c r="D8">
        <f>IF(C8=Calculator!$G$12,Calculator!$J$18,0)</f>
        <v>0</v>
      </c>
      <c r="E8" s="1">
        <f>IF(E7+D8&gt;0,(E7+D8)*(1+Calculator!$D$31)-Calculator!$J$23,0)</f>
        <v>1326398.0839067989</v>
      </c>
      <c r="F8" s="2"/>
    </row>
    <row r="9" spans="1:6" x14ac:dyDescent="0.25">
      <c r="A9">
        <v>67</v>
      </c>
      <c r="B9">
        <v>5</v>
      </c>
      <c r="C9">
        <f>IF(Calculator!$G$12&gt;A9,"",A9)</f>
        <v>67</v>
      </c>
      <c r="D9">
        <f>IF(C9=Calculator!$G$12,Calculator!$J$18,0)</f>
        <v>0</v>
      </c>
      <c r="E9" s="1">
        <f>IF(E8+D9&gt;0,(E8+D9)*(1+Calculator!$D$31)-Calculator!$J$23,0)</f>
        <v>1306190.0264240028</v>
      </c>
      <c r="F9" s="2"/>
    </row>
    <row r="10" spans="1:6" x14ac:dyDescent="0.25">
      <c r="A10">
        <v>68</v>
      </c>
      <c r="B10">
        <v>5</v>
      </c>
      <c r="C10">
        <f>IF(Calculator!$G$12&gt;A10,"",A10)</f>
        <v>68</v>
      </c>
      <c r="D10">
        <f>IF(C10=Calculator!$G$12,Calculator!$J$18,0)</f>
        <v>0</v>
      </c>
      <c r="E10" s="1">
        <f>IF(E9+D10&gt;0,(E9+D10)*(1+Calculator!$D$31)-Calculator!$J$23,0)</f>
        <v>1285375.7272167229</v>
      </c>
      <c r="F10" s="2"/>
    </row>
    <row r="11" spans="1:6" x14ac:dyDescent="0.25">
      <c r="A11">
        <v>69</v>
      </c>
      <c r="B11">
        <v>5</v>
      </c>
      <c r="C11">
        <f>IF(Calculator!$G$12&gt;A11,"",A11)</f>
        <v>69</v>
      </c>
      <c r="D11">
        <f>IF(C11=Calculator!$G$12,Calculator!$J$18,0)</f>
        <v>0</v>
      </c>
      <c r="E11" s="1">
        <f>IF(E10+D11&gt;0,(E10+D11)*(1+Calculator!$D$31)-Calculator!$J$23,0)</f>
        <v>1263936.9990332245</v>
      </c>
      <c r="F11" s="2"/>
    </row>
    <row r="12" spans="1:6" x14ac:dyDescent="0.25">
      <c r="A12">
        <v>70</v>
      </c>
      <c r="B12">
        <v>5</v>
      </c>
      <c r="C12">
        <f>IF(Calculator!$G$12&gt;A12,"",A12)</f>
        <v>70</v>
      </c>
      <c r="D12">
        <f>IF(C12=Calculator!$G$12,Calculator!$J$18,0)</f>
        <v>0</v>
      </c>
      <c r="E12" s="1">
        <f>IF(E11+D12&gt;0,(E11+D12)*(1+Calculator!$D$31)-Calculator!$J$23,0)</f>
        <v>1241855.1090042214</v>
      </c>
      <c r="F12" s="2"/>
    </row>
    <row r="13" spans="1:6" x14ac:dyDescent="0.25">
      <c r="A13">
        <v>71</v>
      </c>
      <c r="B13">
        <v>5</v>
      </c>
      <c r="C13">
        <f>IF(Calculator!$G$12&gt;A13,"",A13)</f>
        <v>71</v>
      </c>
      <c r="D13">
        <f>IF(C13=Calculator!$G$12,Calculator!$J$18,0)</f>
        <v>0</v>
      </c>
      <c r="E13" s="1">
        <f>IF(E12+D13&gt;0,(E12+D13)*(1+Calculator!$D$31)-Calculator!$J$23,0)</f>
        <v>1219110.7622743482</v>
      </c>
      <c r="F13" s="2"/>
    </row>
    <row r="14" spans="1:6" x14ac:dyDescent="0.25">
      <c r="A14">
        <v>72</v>
      </c>
      <c r="B14">
        <v>5</v>
      </c>
      <c r="C14">
        <f>IF(Calculator!$G$12&gt;A14,"",A14)</f>
        <v>72</v>
      </c>
      <c r="D14">
        <f>IF(C14=Calculator!$G$12,Calculator!$J$18,0)</f>
        <v>0</v>
      </c>
      <c r="E14" s="1">
        <f>IF(E13+D14&gt;0,(E13+D14)*(1+Calculator!$D$31)-Calculator!$J$23,0)</f>
        <v>1195684.0851425787</v>
      </c>
      <c r="F14" s="2"/>
    </row>
    <row r="15" spans="1:6" x14ac:dyDescent="0.25">
      <c r="A15">
        <v>73</v>
      </c>
      <c r="B15">
        <v>5</v>
      </c>
      <c r="C15">
        <f>IF(Calculator!$G$12&gt;A15,"",A15)</f>
        <v>73</v>
      </c>
      <c r="D15">
        <f>IF(C15=Calculator!$G$12,Calculator!$J$18,0)</f>
        <v>0</v>
      </c>
      <c r="E15" s="1">
        <f>IF(E14+D15&gt;0,(E14+D15)*(1+Calculator!$D$31)-Calculator!$J$23,0)</f>
        <v>1171554.6076968561</v>
      </c>
      <c r="F15" s="2"/>
    </row>
    <row r="16" spans="1:6" x14ac:dyDescent="0.25">
      <c r="A16">
        <v>74</v>
      </c>
      <c r="B16">
        <v>5</v>
      </c>
      <c r="C16">
        <f>IF(Calculator!$G$12&gt;A16,"",A16)</f>
        <v>74</v>
      </c>
      <c r="D16">
        <f>IF(C16=Calculator!$G$12,Calculator!$J$18,0)</f>
        <v>0</v>
      </c>
      <c r="E16" s="1">
        <f>IF(E15+D16&gt;0,(E15+D16)*(1+Calculator!$D$31)-Calculator!$J$23,0)</f>
        <v>1146701.2459277618</v>
      </c>
      <c r="F16" s="2"/>
    </row>
    <row r="17" spans="1:6" x14ac:dyDescent="0.25">
      <c r="A17">
        <v>75</v>
      </c>
      <c r="B17">
        <v>6</v>
      </c>
      <c r="C17">
        <f>IF(Calculator!$G$12&gt;A17,"",A17)</f>
        <v>75</v>
      </c>
      <c r="D17">
        <f>IF(C17=Calculator!$G$12,Calculator!$J$18,0)</f>
        <v>0</v>
      </c>
      <c r="E17" s="1">
        <f>IF(E16+D17&gt;0,(E16+D17)*(1+Calculator!$D$31)-Calculator!$J$23,0)</f>
        <v>1121102.2833055947</v>
      </c>
      <c r="F17" s="2"/>
    </row>
    <row r="18" spans="1:6" x14ac:dyDescent="0.25">
      <c r="A18">
        <v>76</v>
      </c>
      <c r="B18">
        <v>6</v>
      </c>
      <c r="C18">
        <f>IF(Calculator!$G$12&gt;A18,"",A18)</f>
        <v>76</v>
      </c>
      <c r="D18">
        <f>IF(C18=Calculator!$G$12,Calculator!$J$18,0)</f>
        <v>0</v>
      </c>
      <c r="E18" s="1">
        <f>IF(E17+D18&gt;0,(E17+D18)*(1+Calculator!$D$31)-Calculator!$J$23,0)</f>
        <v>1094735.3518047626</v>
      </c>
      <c r="F18" s="2"/>
    </row>
    <row r="19" spans="1:6" x14ac:dyDescent="0.25">
      <c r="A19">
        <v>77</v>
      </c>
      <c r="B19">
        <v>6</v>
      </c>
      <c r="C19">
        <f>IF(Calculator!$G$12&gt;A19,"",A19)</f>
        <v>77</v>
      </c>
      <c r="D19">
        <f>IF(C19=Calculator!$G$12,Calculator!$J$18,0)</f>
        <v>0</v>
      </c>
      <c r="E19" s="1">
        <f>IF(E18+D19&gt;0,(E18+D19)*(1+Calculator!$D$31)-Calculator!$J$23,0)</f>
        <v>1067577.4123589054</v>
      </c>
      <c r="F19" s="2"/>
    </row>
    <row r="20" spans="1:6" x14ac:dyDescent="0.25">
      <c r="A20">
        <v>78</v>
      </c>
      <c r="B20">
        <v>6</v>
      </c>
      <c r="C20">
        <f>IF(Calculator!$G$12&gt;A20,"",A20)</f>
        <v>78</v>
      </c>
      <c r="D20">
        <f>IF(C20=Calculator!$G$12,Calculator!$J$18,0)</f>
        <v>0</v>
      </c>
      <c r="E20" s="1">
        <f>IF(E19+D20&gt;0,(E19+D20)*(1+Calculator!$D$31)-Calculator!$J$23,0)</f>
        <v>1039604.7347296725</v>
      </c>
      <c r="F20" s="2"/>
    </row>
    <row r="21" spans="1:6" x14ac:dyDescent="0.25">
      <c r="A21">
        <v>79</v>
      </c>
      <c r="B21">
        <v>6</v>
      </c>
      <c r="C21">
        <f>IF(Calculator!$G$12&gt;A21,"",A21)</f>
        <v>79</v>
      </c>
      <c r="D21">
        <f>IF(C21=Calculator!$G$12,Calculator!$J$18,0)</f>
        <v>0</v>
      </c>
      <c r="E21" s="1">
        <f>IF(E20+D21&gt;0,(E20+D21)*(1+Calculator!$D$31)-Calculator!$J$23,0)</f>
        <v>1010792.8767715627</v>
      </c>
      <c r="F21" s="2"/>
    </row>
    <row r="22" spans="1:6" x14ac:dyDescent="0.25">
      <c r="A22">
        <v>80</v>
      </c>
      <c r="B22">
        <v>7</v>
      </c>
      <c r="C22">
        <f>IF(Calculator!$G$12&gt;A22,"",A22)</f>
        <v>80</v>
      </c>
      <c r="D22">
        <f>IF(C22=Calculator!$G$12,Calculator!$J$18,0)</f>
        <v>0</v>
      </c>
      <c r="E22" s="1">
        <f>IF(E21+D22&gt;0,(E21+D22)*(1+Calculator!$D$31)-Calculator!$J$23,0)</f>
        <v>981116.66307470959</v>
      </c>
      <c r="F22" s="2"/>
    </row>
    <row r="23" spans="1:6" x14ac:dyDescent="0.25">
      <c r="A23">
        <v>81</v>
      </c>
      <c r="B23">
        <v>7</v>
      </c>
      <c r="C23">
        <f>IF(Calculator!$G$12&gt;A23,"",A23)</f>
        <v>81</v>
      </c>
      <c r="D23">
        <f>IF(C23=Calculator!$G$12,Calculator!$J$18,0)</f>
        <v>0</v>
      </c>
      <c r="E23" s="1">
        <f>IF(E22+D23&gt;0,(E22+D23)*(1+Calculator!$D$31)-Calculator!$J$23,0)</f>
        <v>950550.16296695091</v>
      </c>
      <c r="F23" s="2"/>
    </row>
    <row r="24" spans="1:6" x14ac:dyDescent="0.25">
      <c r="A24">
        <v>82</v>
      </c>
      <c r="B24">
        <v>7</v>
      </c>
      <c r="C24">
        <f>IF(Calculator!$G$12&gt;A24,"",A24)</f>
        <v>82</v>
      </c>
      <c r="D24">
        <f>IF(C24=Calculator!$G$12,Calculator!$J$18,0)</f>
        <v>0</v>
      </c>
      <c r="E24" s="1">
        <f>IF(E23+D24&gt;0,(E23+D24)*(1+Calculator!$D$31)-Calculator!$J$23,0)</f>
        <v>919066.6678559595</v>
      </c>
      <c r="F24" s="2"/>
    </row>
    <row r="25" spans="1:6" x14ac:dyDescent="0.25">
      <c r="A25">
        <v>83</v>
      </c>
      <c r="B25">
        <v>7</v>
      </c>
      <c r="C25">
        <f>IF(Calculator!$G$12&gt;A25,"",A25)</f>
        <v>83</v>
      </c>
      <c r="D25">
        <f>IF(C25=Calculator!$G$12,Calculator!$J$18,0)</f>
        <v>0</v>
      </c>
      <c r="E25" s="1">
        <f>IF(E24+D25&gt;0,(E24+D25)*(1+Calculator!$D$31)-Calculator!$J$23,0)</f>
        <v>886638.66789163835</v>
      </c>
      <c r="F25" s="2"/>
    </row>
    <row r="26" spans="1:6" x14ac:dyDescent="0.25">
      <c r="A26">
        <v>84</v>
      </c>
      <c r="B26">
        <v>7</v>
      </c>
      <c r="C26">
        <f>IF(Calculator!$G$12&gt;A26,"",A26)</f>
        <v>84</v>
      </c>
      <c r="D26">
        <f>IF(C26=Calculator!$G$12,Calculator!$J$18,0)</f>
        <v>0</v>
      </c>
      <c r="E26" s="1">
        <f>IF(E25+D26&gt;0,(E25+D26)*(1+Calculator!$D$31)-Calculator!$J$23,0)</f>
        <v>853237.82792838756</v>
      </c>
      <c r="F26" s="2"/>
    </row>
    <row r="27" spans="1:6" x14ac:dyDescent="0.25">
      <c r="A27">
        <v>85</v>
      </c>
      <c r="B27">
        <v>9</v>
      </c>
      <c r="C27">
        <f>IF(Calculator!$G$12&gt;A27,"",A27)</f>
        <v>85</v>
      </c>
      <c r="D27">
        <f>IF(C27=Calculator!$G$12,Calculator!$J$18,0)</f>
        <v>0</v>
      </c>
      <c r="E27" s="1">
        <f>IF(E26+D27&gt;0,(E26+D27)*(1+Calculator!$D$31)-Calculator!$J$23,0)</f>
        <v>818834.96276623919</v>
      </c>
      <c r="F27" s="2"/>
    </row>
    <row r="28" spans="1:6" x14ac:dyDescent="0.25">
      <c r="A28">
        <v>86</v>
      </c>
      <c r="B28">
        <v>9</v>
      </c>
      <c r="C28">
        <f>IF(Calculator!$G$12&gt;A28,"",A28)</f>
        <v>86</v>
      </c>
      <c r="D28">
        <f>IF(C28=Calculator!$G$12,Calculator!$J$18,0)</f>
        <v>0</v>
      </c>
      <c r="E28" s="1">
        <f>IF(E27+D28&gt;0,(E27+D28)*(1+Calculator!$D$31)-Calculator!$J$23,0)</f>
        <v>783400.01164922642</v>
      </c>
      <c r="F28" s="2"/>
    </row>
    <row r="29" spans="1:6" x14ac:dyDescent="0.25">
      <c r="A29">
        <v>87</v>
      </c>
      <c r="B29">
        <v>9</v>
      </c>
      <c r="C29">
        <f>IF(Calculator!$G$12&gt;A29,"",A29)</f>
        <v>87</v>
      </c>
      <c r="D29">
        <f>IF(C29=Calculator!$G$12,Calculator!$J$18,0)</f>
        <v>0</v>
      </c>
      <c r="E29" s="1">
        <f>IF(E28+D29&gt;0,(E28+D29)*(1+Calculator!$D$31)-Calculator!$J$23,0)</f>
        <v>746902.01199870324</v>
      </c>
      <c r="F29" s="2"/>
    </row>
    <row r="30" spans="1:6" x14ac:dyDescent="0.25">
      <c r="A30">
        <v>88</v>
      </c>
      <c r="B30">
        <v>9</v>
      </c>
      <c r="C30">
        <f>IF(Calculator!$G$12&gt;A30,"",A30)</f>
        <v>88</v>
      </c>
      <c r="D30">
        <f>IF(C30=Calculator!$G$12,Calculator!$J$18,0)</f>
        <v>0</v>
      </c>
      <c r="E30" s="1">
        <f>IF(E29+D30&gt;0,(E29+D30)*(1+Calculator!$D$31)-Calculator!$J$23,0)</f>
        <v>709309.07235866436</v>
      </c>
      <c r="F30" s="2"/>
    </row>
    <row r="31" spans="1:6" x14ac:dyDescent="0.25">
      <c r="A31">
        <v>89</v>
      </c>
      <c r="B31">
        <v>9</v>
      </c>
      <c r="C31">
        <f>IF(Calculator!$G$12&gt;A31,"",A31)</f>
        <v>89</v>
      </c>
      <c r="D31">
        <f>IF(C31=Calculator!$G$12,Calculator!$J$18,0)</f>
        <v>0</v>
      </c>
      <c r="E31" s="1">
        <f>IF(E30+D31&gt;0,(E30+D31)*(1+Calculator!$D$31)-Calculator!$J$23,0)</f>
        <v>670588.34452942433</v>
      </c>
      <c r="F31" s="2"/>
    </row>
    <row r="32" spans="1:6" x14ac:dyDescent="0.25">
      <c r="A32">
        <v>90</v>
      </c>
      <c r="B32">
        <v>11</v>
      </c>
      <c r="C32">
        <f>IF(Calculator!$G$12&gt;A32,"",A32)</f>
        <v>90</v>
      </c>
      <c r="D32">
        <f>IF(C32=Calculator!$G$12,Calculator!$J$18,0)</f>
        <v>0</v>
      </c>
      <c r="E32" s="1">
        <f>IF(E31+D32&gt;0,(E31+D32)*(1+Calculator!$D$31)-Calculator!$J$23,0)</f>
        <v>630705.99486530712</v>
      </c>
      <c r="F32" s="2"/>
    </row>
    <row r="33" spans="1:6" x14ac:dyDescent="0.25">
      <c r="A33">
        <v>91</v>
      </c>
      <c r="B33">
        <v>11</v>
      </c>
      <c r="C33">
        <f>IF(Calculator!$G$12&gt;A33,"",A33)</f>
        <v>91</v>
      </c>
      <c r="D33">
        <f>IF(C33=Calculator!$G$12,Calculator!$J$18,0)</f>
        <v>0</v>
      </c>
      <c r="E33" s="1">
        <f>IF(E32+D33&gt;0,(E32+D33)*(1+Calculator!$D$31)-Calculator!$J$23,0)</f>
        <v>589627.1747112663</v>
      </c>
      <c r="F33" s="2"/>
    </row>
    <row r="34" spans="1:6" x14ac:dyDescent="0.25">
      <c r="A34">
        <v>92</v>
      </c>
      <c r="B34">
        <v>11</v>
      </c>
      <c r="C34">
        <f>IF(Calculator!$G$12&gt;A34,"",A34)</f>
        <v>92</v>
      </c>
      <c r="D34">
        <f>IF(C34=Calculator!$G$12,Calculator!$J$18,0)</f>
        <v>0</v>
      </c>
      <c r="E34" s="1">
        <f>IF(E33+D34&gt;0,(E33+D34)*(1+Calculator!$D$31)-Calculator!$J$23,0)</f>
        <v>547315.98995260429</v>
      </c>
      <c r="F34" s="2"/>
    </row>
    <row r="35" spans="1:6" x14ac:dyDescent="0.25">
      <c r="A35">
        <v>93</v>
      </c>
      <c r="B35">
        <v>11</v>
      </c>
      <c r="C35">
        <f>IF(Calculator!$G$12&gt;A35,"",A35)</f>
        <v>93</v>
      </c>
      <c r="D35">
        <f>IF(C35=Calculator!$G$12,Calculator!$J$18,0)</f>
        <v>0</v>
      </c>
      <c r="E35" s="1">
        <f>IF(E34+D35&gt;0,(E34+D35)*(1+Calculator!$D$31)-Calculator!$J$23,0)</f>
        <v>503735.46965118241</v>
      </c>
      <c r="F35" s="2"/>
    </row>
    <row r="36" spans="1:6" x14ac:dyDescent="0.25">
      <c r="A36">
        <v>94</v>
      </c>
      <c r="B36">
        <v>11</v>
      </c>
      <c r="C36">
        <f>IF(Calculator!$G$12&gt;A36,"",A36)</f>
        <v>94</v>
      </c>
      <c r="D36">
        <f>IF(C36=Calculator!$G$12,Calculator!$J$18,0)</f>
        <v>0</v>
      </c>
      <c r="E36" s="1">
        <f>IF(E35+D36&gt;0,(E35+D36)*(1+Calculator!$D$31)-Calculator!$J$23,0)</f>
        <v>458847.53374071792</v>
      </c>
      <c r="F36" s="2"/>
    </row>
    <row r="37" spans="1:6" x14ac:dyDescent="0.25">
      <c r="A37">
        <v>95</v>
      </c>
      <c r="B37">
        <v>14</v>
      </c>
      <c r="C37">
        <f>IF(Calculator!$G$12&gt;A37,"",A37)</f>
        <v>95</v>
      </c>
      <c r="D37">
        <f>IF(C37=Calculator!$G$12,Calculator!$J$18,0)</f>
        <v>0</v>
      </c>
      <c r="E37" s="1">
        <f>IF(E36+D37&gt;0,(E36+D37)*(1+Calculator!$D$31)-Calculator!$J$23,0)</f>
        <v>412612.95975293947</v>
      </c>
      <c r="F37" s="2"/>
    </row>
    <row r="38" spans="1:6" x14ac:dyDescent="0.25">
      <c r="A38">
        <v>96</v>
      </c>
      <c r="B38">
        <v>14</v>
      </c>
      <c r="C38">
        <f>IF(Calculator!$G$12&gt;A38,"",A38)</f>
        <v>96</v>
      </c>
      <c r="D38">
        <f>IF(C38=Calculator!$G$12,Calculator!$J$18,0)</f>
        <v>0</v>
      </c>
      <c r="E38" s="1">
        <f>IF(E37+D38&gt;0,(E37+D38)*(1+Calculator!$D$31)-Calculator!$J$23,0)</f>
        <v>364991.34854552767</v>
      </c>
      <c r="F38" s="2"/>
    </row>
    <row r="39" spans="1:6" x14ac:dyDescent="0.25">
      <c r="A39">
        <v>97</v>
      </c>
      <c r="B39">
        <v>14</v>
      </c>
      <c r="C39">
        <f>IF(Calculator!$G$12&gt;A39,"",A39)</f>
        <v>97</v>
      </c>
      <c r="D39">
        <f>IF(C39=Calculator!$G$12,Calculator!$J$18,0)</f>
        <v>0</v>
      </c>
      <c r="E39" s="1">
        <f>IF(E38+D39&gt;0,(E38+D39)*(1+Calculator!$D$31)-Calculator!$J$23,0)</f>
        <v>315941.08900189353</v>
      </c>
      <c r="F39" s="2"/>
    </row>
    <row r="44" spans="1:6" x14ac:dyDescent="0.25">
      <c r="A44" t="s">
        <v>7</v>
      </c>
    </row>
    <row r="45" spans="1:6" x14ac:dyDescent="0.25">
      <c r="A45" t="s">
        <v>6</v>
      </c>
    </row>
    <row r="46" spans="1:6" x14ac:dyDescent="0.25">
      <c r="A46" t="s">
        <v>5</v>
      </c>
    </row>
  </sheetData>
  <sheetProtection sheet="1" objects="1" scenarios="1" selectLockedCells="1" selectUn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Calculator</vt:lpstr>
      <vt:lpstr>Sheet3</vt:lpstr>
      <vt:lpstr>Factors</vt:lpstr>
      <vt:lpstr>Calculator!Print_Area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Gerard Hannan</dc:creator>
  <cp:lastModifiedBy>Gerard Hannan</cp:lastModifiedBy>
  <cp:lastPrinted>2016-04-26T05:31:49Z</cp:lastPrinted>
  <dcterms:created xsi:type="dcterms:W3CDTF">2015-01-12T02:42:18Z</dcterms:created>
  <dcterms:modified xsi:type="dcterms:W3CDTF">2016-04-26T05:39:06Z</dcterms:modified>
</cp:coreProperties>
</file>